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  <Override PartName="/xl/threadedComments/threadedComment2.xml" ContentType="application/vnd.ms-excel.threadedcomments+xml"/>
  <Override PartName="/xl/threadedComments/threadedComment3.xml" ContentType="application/vnd.ms-excel.threadedcomments+xml"/>
  <Override PartName="/xl/threadedComments/threadedComment4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ReboundPaper2019/data/"/>
    </mc:Choice>
  </mc:AlternateContent>
  <xr:revisionPtr revIDLastSave="0" documentId="13_ncr:1_{1B90F637-1A9A-1F48-B3CC-FF3A293455F9}" xr6:coauthVersionLast="44" xr6:coauthVersionMax="44" xr10:uidLastSave="{00000000-0000-0000-0000-000000000000}"/>
  <bookViews>
    <workbookView xWindow="21640" yWindow="460" windowWidth="29560" windowHeight="28340" activeTab="3" xr2:uid="{D5A3B5ED-380C-904B-9F1C-82A1AD5F55AA}"/>
  </bookViews>
  <sheets>
    <sheet name="Meta" sheetId="4" r:id="rId1"/>
    <sheet name="Conversion Factors" sheetId="3" r:id="rId2"/>
    <sheet name="Economic data" sheetId="2" r:id="rId3"/>
    <sheet name="Light" sheetId="5" r:id="rId4"/>
    <sheet name="Car" sheetId="6" r:id="rId5"/>
    <sheet name="Project data" sheetId="1" r:id="rId6"/>
  </sheets>
  <definedNames>
    <definedName name="GDP">'Economic data'!$C$2</definedName>
    <definedName name="MJ_per_gal">'Conversion Factors'!$B$5</definedName>
    <definedName name="MJ_per_ktoe">'Conversion Factors'!$B$2</definedName>
    <definedName name="MJ_per_kWhr">'Conversion Factors'!$B$3</definedName>
    <definedName name="MPC">'Economic data'!$A$2</definedName>
    <definedName name="TFC">'Economic data'!$B$2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26" i="5" l="1"/>
  <c r="B6" i="5"/>
  <c r="B70" i="5" l="1"/>
  <c r="D3" i="1"/>
  <c r="B39" i="6"/>
  <c r="B41" i="6" s="1"/>
  <c r="B37" i="6"/>
  <c r="B36" i="6"/>
  <c r="B25" i="6"/>
  <c r="B49" i="6" s="1"/>
  <c r="B50" i="6" s="1"/>
  <c r="I3" i="1" s="1"/>
  <c r="B27" i="6"/>
  <c r="B28" i="6" s="1"/>
  <c r="G3" i="1" s="1"/>
  <c r="B21" i="6"/>
  <c r="B19" i="6"/>
  <c r="E3" i="1" s="1"/>
  <c r="B6" i="6"/>
  <c r="C3" i="1" s="1"/>
  <c r="B45" i="6" l="1"/>
  <c r="H3" i="1" s="1"/>
  <c r="B51" i="6"/>
  <c r="B52" i="6" s="1"/>
  <c r="J3" i="1" s="1"/>
  <c r="B26" i="6"/>
  <c r="F3" i="1" s="1"/>
  <c r="D2" i="1" l="1"/>
  <c r="B56" i="5"/>
  <c r="B57" i="5" s="1"/>
  <c r="B58" i="5" s="1"/>
  <c r="B29" i="5"/>
  <c r="B30" i="5" s="1"/>
  <c r="B18" i="5"/>
  <c r="G2" i="1" l="1"/>
  <c r="I2" i="1"/>
  <c r="B11" i="5"/>
  <c r="B20" i="5" s="1"/>
  <c r="B27" i="5"/>
  <c r="B28" i="5" s="1"/>
  <c r="B44" i="5"/>
  <c r="B38" i="5"/>
  <c r="C2" i="1"/>
  <c r="B71" i="5"/>
  <c r="F2" i="1" l="1"/>
  <c r="B73" i="5"/>
  <c r="E2" i="1"/>
  <c r="B22" i="5"/>
  <c r="B47" i="5"/>
  <c r="B74" i="5" s="1"/>
  <c r="B59" i="5"/>
  <c r="B60" i="5" s="1"/>
  <c r="B40" i="5"/>
  <c r="J2" i="1" l="1"/>
  <c r="B72" i="5"/>
  <c r="B84" i="5" s="1"/>
  <c r="B77" i="5"/>
  <c r="H2" i="1"/>
  <c r="B49" i="5"/>
  <c r="B76" i="5" l="1"/>
  <c r="B79" i="5" l="1"/>
  <c r="B85" i="5"/>
  <c r="B82" i="5"/>
  <c r="B78" i="5"/>
  <c r="B80" i="5"/>
  <c r="B86" i="5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tc={CCD4E8CF-66CA-9A43-BEB3-4ADCD767A0F4}</author>
    <author>tc={C9AAF3F9-AB53-B74F-AAB3-18867750431D}</author>
    <author>tc={EDB7354F-9C95-8646-AA76-D4E19F4DD586}</author>
  </authors>
  <commentList>
    <comment ref="A1" authorId="0" shapeId="0" xr:uid="{CCD4E8CF-66CA-9A43-BEB3-4ADCD767A0F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Marginal Propensity to Consume [-]</t>
        </r>
      </text>
    </comment>
    <comment ref="B1" authorId="1" shapeId="0" xr:uid="{C9AAF3F9-AB53-B74F-AAB3-18867750431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Energy total final consumption for the US in 2016 [MJ]. Source: IEA extended energy balances 2018.</t>
        </r>
      </text>
    </comment>
    <comment ref="C1" authorId="2" shapeId="0" xr:uid="{EDB7354F-9C95-8646-AA76-D4E19F4DD586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U.S. Gross Domestic Product [2016 USD]. Source: Bureau of Economic Analysis, National income and product accounts, Ta- ble 1.1.5. Gross Domestic Product (https://apps.bea.gov/iTable/iTable.cfm?reqid=19&amp;step=2)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tc={8A4A3D01-E799-5040-9A80-B09F68D5AC04}</author>
    <author>tc={AD5239DB-E9DD-DA4E-B1B9-11F2751D8B5F}</author>
    <author>tc={CB3A4D37-2BE9-2B40-8B52-36B3DA26E41C}</author>
  </authors>
  <commentList>
    <comment ref="B22" authorId="0" shapeId="0" xr:uid="{8A4A3D01-E799-5040-9A80-B09F68D5AC04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9" authorId="1" shapeId="0" xr:uid="{AD5239DB-E9DD-DA4E-B1B9-11F2751D8B5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55" authorId="2" shapeId="0" xr:uid="{CB3A4D37-2BE9-2B40-8B52-36B3DA26E41C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tc={8A4A3D01-E799-5041-9A80-B09F68D5AC04}</author>
    <author>tc={CB3A4D37-2BE9-2B41-8B52-36B3DA26E41C}</author>
  </authors>
  <commentList>
    <comment ref="B21" authorId="0" shapeId="0" xr:uid="{2FD09999-9BD2-6042-8988-F46053027C3D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Includes replacement cost</t>
        </r>
      </text>
    </comment>
    <comment ref="B48" authorId="1" shapeId="0" xr:uid="{6E4A6055-D033-6242-ADB2-EA8ECBED2B1E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Ratio of embodied energy in LED vs. incandescent lights. [-]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tc={8F9C5BBE-53F8-BF46-AE84-E7DFA054348B}</author>
    <author>tc={5AD6B710-EB47-624A-8A2B-FFA78E02B50F}</author>
  </authors>
  <commentList>
    <comment ref="C1" authorId="0" shapeId="0" xr:uid="{8F9C5BBE-53F8-BF46-AE84-E7DFA054348B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Price of final energy [$/MJ]</t>
        </r>
      </text>
    </comment>
    <comment ref="H1" authorId="1" shapeId="0" xr:uid="{5AD6B710-EB47-624A-8A2B-FFA78E02B50F}">
      <text>
        <r>
          <rPr>
            <sz val="12"/>
            <color theme="1"/>
            <rFont val="Calibri"/>
            <family val="2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Lifetime cost of final energy for the energy efficient case.</t>
        </r>
      </text>
    </comment>
  </commentList>
</comments>
</file>

<file path=xl/sharedStrings.xml><?xml version="1.0" encoding="utf-8"?>
<sst xmlns="http://schemas.openxmlformats.org/spreadsheetml/2006/main" count="196" uniqueCount="98">
  <si>
    <t>People</t>
  </si>
  <si>
    <t>Example</t>
  </si>
  <si>
    <t>Re_dev</t>
  </si>
  <si>
    <t>MPC</t>
  </si>
  <si>
    <t>TFC</t>
  </si>
  <si>
    <t>GDP</t>
  </si>
  <si>
    <t>Light</t>
  </si>
  <si>
    <t>Car</t>
  </si>
  <si>
    <t>MJ_per_ktoe</t>
  </si>
  <si>
    <t>Electricity price</t>
  </si>
  <si>
    <t>$/kW-hr</t>
  </si>
  <si>
    <t>MJ_per_kWhr</t>
  </si>
  <si>
    <t>$/MJ</t>
  </si>
  <si>
    <t>Final energy price (p_E_f)</t>
  </si>
  <si>
    <t>$/bulb</t>
  </si>
  <si>
    <t>$/24 bulbs</t>
  </si>
  <si>
    <t>https://www.amazon.com/SYLVANIA-General-Lighting-74765-Equivalent/dp/B0758GXHQK?psc=1&amp;SubscriptionId=AKIAILSHYYTFIVPWUY6Q&amp;tag=duckduckgo-d-20&amp;linkCode=xm2&amp;camp=2025&amp;creative=165953&amp;creativeASIN=B0758GXHQK</t>
  </si>
  <si>
    <t>BASE</t>
  </si>
  <si>
    <t>Energy Efficient</t>
  </si>
  <si>
    <t>$/16 bulbs</t>
  </si>
  <si>
    <t>Lifetime</t>
  </si>
  <si>
    <t>hours</t>
  </si>
  <si>
    <t>Power draw</t>
  </si>
  <si>
    <t>W</t>
  </si>
  <si>
    <t>$/year</t>
  </si>
  <si>
    <t>Ann energy cost</t>
  </si>
  <si>
    <t>Usage</t>
  </si>
  <si>
    <t>hours/day</t>
  </si>
  <si>
    <t>yr</t>
  </si>
  <si>
    <t>Embodied energy</t>
  </si>
  <si>
    <t>http://www.thewatt.com/?q=node/175</t>
  </si>
  <si>
    <t>years</t>
  </si>
  <si>
    <t>hrs/day</t>
  </si>
  <si>
    <t>Ann op cost</t>
  </si>
  <si>
    <t>$/yr</t>
  </si>
  <si>
    <t>kW-hr/yr</t>
  </si>
  <si>
    <t>https://www.amazon.com/60-Watt-Reveal-Crystal-Clear-6-Pack/dp/B071Y48R19/ref=sr_1_11?keywords=60+watt+a19+incandescent+bulbs&amp;qid=1566159243&amp;s=gateway&amp;sr=8-11</t>
  </si>
  <si>
    <t>MJ/yr</t>
  </si>
  <si>
    <t>–</t>
  </si>
  <si>
    <t>Emb enrg rat</t>
  </si>
  <si>
    <t>Emb enrg</t>
  </si>
  <si>
    <t>kW-hr/bulb</t>
  </si>
  <si>
    <t>C_install</t>
  </si>
  <si>
    <t>Heun</t>
  </si>
  <si>
    <t>C_dot_repl_base</t>
  </si>
  <si>
    <t>C_dot_repl_EE</t>
  </si>
  <si>
    <t>E_dot_cons_base</t>
  </si>
  <si>
    <t>E_dot_emb_base</t>
  </si>
  <si>
    <t>E_dot_cons_EE</t>
  </si>
  <si>
    <t>E_dot_emb_EE</t>
  </si>
  <si>
    <t>Gasoline price</t>
  </si>
  <si>
    <t>L. Stapleton, S. Sorrell, and T. Schwanen. Estimating direct rebound effects for personal automotive travel in Great Britain. Energy Economics, 54:313–325, Feb 2016.</t>
  </si>
  <si>
    <t>$/gal</t>
  </si>
  <si>
    <t>$/car</t>
  </si>
  <si>
    <t>MJ/gal</t>
  </si>
  <si>
    <t>https://www.convertunits.com/from/MJ/to/gallons+of+gasoline</t>
  </si>
  <si>
    <t>https://mediaroom.kbb.com/2019-02-01-Average-New-Car-Prices-Up-More-Than-4-Percent-Year-Over-Year-for-January-2019-on-Tesla-Full-Size-Trucks-According-to-Kelley-Blue-Book</t>
  </si>
  <si>
    <t>https://blog.nationwide.com/how-long-cars-last-infographic/</t>
  </si>
  <si>
    <t>https://www.carinsurance.com/Articles/average-miles-driven-per-year-by-state.aspx</t>
  </si>
  <si>
    <t>mi/year</t>
  </si>
  <si>
    <t>Efficiency</t>
  </si>
  <si>
    <t>https://www.reuters.com/article/us-autos-emissions-idUSKBN1F02BX</t>
  </si>
  <si>
    <t>mi/gal</t>
  </si>
  <si>
    <t>gal/yr</t>
  </si>
  <si>
    <t>https://blog.nature.org/science/2017/07/28/embodied-energy/</t>
  </si>
  <si>
    <t>kW-hr</t>
  </si>
  <si>
    <t>MJ</t>
  </si>
  <si>
    <t>International Energy Agency. Technology roadmap: Fuel economy of road vehicles. Technical report, IEA Energy Technology Policy Division, Paris, France, 2012.</t>
  </si>
  <si>
    <t>p_E</t>
  </si>
  <si>
    <t>E_dot_sav_dev_expected</t>
  </si>
  <si>
    <t>E_dot_sav_dev</t>
  </si>
  <si>
    <t>C_dot_sav_dev_net</t>
  </si>
  <si>
    <t>k</t>
  </si>
  <si>
    <t>-</t>
  </si>
  <si>
    <t>I</t>
  </si>
  <si>
    <t>MJ/$</t>
  </si>
  <si>
    <t>s</t>
  </si>
  <si>
    <t>Re_EW</t>
  </si>
  <si>
    <t>E_dot_sav_dev_cons_expected</t>
  </si>
  <si>
    <t>E_dot_sav_dev_emb</t>
  </si>
  <si>
    <t>C_dot_sav_repl</t>
  </si>
  <si>
    <t>E_dot_sav_dev_cons</t>
  </si>
  <si>
    <t>(1)</t>
  </si>
  <si>
    <t>(2)</t>
  </si>
  <si>
    <t>(2a)</t>
  </si>
  <si>
    <t>(6)</t>
  </si>
  <si>
    <t>(3)</t>
  </si>
  <si>
    <t>Eqn #s</t>
  </si>
  <si>
    <t>(6a)</t>
  </si>
  <si>
    <t>(7)</t>
  </si>
  <si>
    <t>(8)</t>
  </si>
  <si>
    <t>E_dot_NE_EW</t>
  </si>
  <si>
    <t>(10)</t>
  </si>
  <si>
    <t>C_dot_sav_dev_cons</t>
  </si>
  <si>
    <t>(16)</t>
  </si>
  <si>
    <t>phi</t>
  </si>
  <si>
    <t>(21)</t>
  </si>
  <si>
    <t>(22)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</si>
</sst>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sz val="10"/>
      <color rgb="FF000000"/>
      <name val="Helvetica"/>
      <family val="2"/>
    </font>
    <font>
      <u/>
      <sz val="12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0" fillId="0" borderId="0" xfId="0" applyFill="1"/>
    <xf numFmtId="0" fontId="0" fillId="0" borderId="0" xfId="0" quotePrefix="1"/>
    <xf numFmtId="0" fontId="0" fillId="3" borderId="0" xfId="0" applyFill="1" applyBorder="1"/>
    <xf numFmtId="0" fontId="4" fillId="0" borderId="0" xfId="0" applyFont="1"/>
    <xf numFmtId="0" fontId="0" fillId="0" borderId="0" xfId="0" applyFont="1"/>
    <xf numFmtId="0" fontId="0" fillId="3" borderId="0" xfId="0" applyFill="1"/>
    <xf numFmtId="0" fontId="5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12</xdr:col>
      <xdr:colOff>711200</xdr:colOff>
      <xdr:row>32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FF69CA-DE9F-DE45-BD84-BBECCD0E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812800"/>
          <a:ext cx="7315200" cy="579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35</xdr:row>
      <xdr:rowOff>0</xdr:rowOff>
    </xdr:from>
    <xdr:to>
      <xdr:col>19</xdr:col>
      <xdr:colOff>406400</xdr:colOff>
      <xdr:row>78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6FD54D-EDA1-5440-A3D4-A074E4D0B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0300" y="7366000"/>
          <a:ext cx="12788900" cy="877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7402</xdr:colOff>
      <xdr:row>3</xdr:row>
      <xdr:rowOff>63500</xdr:rowOff>
    </xdr:from>
    <xdr:to>
      <xdr:col>15</xdr:col>
      <xdr:colOff>114299</xdr:colOff>
      <xdr:row>22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9E9050-21D1-2747-AC55-BAAF909C2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802" y="673100"/>
          <a:ext cx="3408897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9</xdr:row>
      <xdr:rowOff>0</xdr:rowOff>
    </xdr:from>
    <xdr:to>
      <xdr:col>7</xdr:col>
      <xdr:colOff>152401</xdr:colOff>
      <xdr:row>20</xdr:row>
      <xdr:rowOff>188661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EB6739-895A-B941-B93C-2D731CE7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7901" y="1955800"/>
          <a:ext cx="2628900" cy="242386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9</xdr:row>
      <xdr:rowOff>0</xdr:rowOff>
    </xdr:from>
    <xdr:to>
      <xdr:col>10</xdr:col>
      <xdr:colOff>353963</xdr:colOff>
      <xdr:row>20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15B2C-7D74-A14D-B8E7-A6A71316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1100" y="1955800"/>
          <a:ext cx="2563763" cy="2349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22</xdr:row>
      <xdr:rowOff>152400</xdr:rowOff>
    </xdr:from>
    <xdr:to>
      <xdr:col>11</xdr:col>
      <xdr:colOff>431800</xdr:colOff>
      <xdr:row>32</xdr:row>
      <xdr:rowOff>142703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76DB1-B3D4-A741-82EC-F88864FA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59400" y="4749800"/>
          <a:ext cx="4521200" cy="2022303"/>
        </a:xfrm>
        <a:prstGeom prst="rect">
          <a:avLst/>
        </a:prstGeom>
      </xdr:spPr>
    </xdr:pic>
    <xdr:clientData/>
  </xdr:twoCellAnchor>
  <xdr:twoCellAnchor>
    <xdr:from>
      <xdr:col>8</xdr:col>
      <xdr:colOff>241300</xdr:colOff>
      <xdr:row>29</xdr:row>
      <xdr:rowOff>50800</xdr:rowOff>
    </xdr:from>
    <xdr:to>
      <xdr:col>9</xdr:col>
      <xdr:colOff>215900</xdr:colOff>
      <xdr:row>31</xdr:row>
      <xdr:rowOff>114300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BEC9CCAD-B9F8-8544-BB31-05DDDEA6D7C9}"/>
            </a:ext>
          </a:extLst>
        </xdr:cNvPr>
        <xdr:cNvSpPr/>
      </xdr:nvSpPr>
      <xdr:spPr>
        <a:xfrm>
          <a:off x="7213600" y="60706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25400</xdr:colOff>
      <xdr:row>15</xdr:row>
      <xdr:rowOff>127000</xdr:rowOff>
    </xdr:from>
    <xdr:to>
      <xdr:col>4</xdr:col>
      <xdr:colOff>685800</xdr:colOff>
      <xdr:row>17</xdr:row>
      <xdr:rowOff>63500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778EB18A-2F1D-1540-963E-30025691067F}"/>
            </a:ext>
          </a:extLst>
        </xdr:cNvPr>
        <xdr:cNvSpPr/>
      </xdr:nvSpPr>
      <xdr:spPr>
        <a:xfrm>
          <a:off x="3695700" y="33020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17</xdr:row>
      <xdr:rowOff>114300</xdr:rowOff>
    </xdr:from>
    <xdr:to>
      <xdr:col>4</xdr:col>
      <xdr:colOff>660400</xdr:colOff>
      <xdr:row>19</xdr:row>
      <xdr:rowOff>50800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2EE14C8-E68B-044A-BF18-CB5794B4D7F7}"/>
            </a:ext>
          </a:extLst>
        </xdr:cNvPr>
        <xdr:cNvSpPr/>
      </xdr:nvSpPr>
      <xdr:spPr>
        <a:xfrm>
          <a:off x="3670300" y="36957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15</xdr:col>
      <xdr:colOff>495300</xdr:colOff>
      <xdr:row>7</xdr:row>
      <xdr:rowOff>38100</xdr:rowOff>
    </xdr:from>
    <xdr:to>
      <xdr:col>24</xdr:col>
      <xdr:colOff>190500</xdr:colOff>
      <xdr:row>18</xdr:row>
      <xdr:rowOff>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DDFC5E-877B-C944-81C3-B20A2454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246100" y="1460500"/>
          <a:ext cx="7124700" cy="2389434"/>
        </a:xfrm>
        <a:prstGeom prst="rect">
          <a:avLst/>
        </a:prstGeom>
      </xdr:spPr>
    </xdr:pic>
    <xdr:clientData/>
  </xdr:twoCellAnchor>
  <xdr:twoCellAnchor>
    <xdr:from>
      <xdr:col>16</xdr:col>
      <xdr:colOff>12700</xdr:colOff>
      <xdr:row>10</xdr:row>
      <xdr:rowOff>101600</xdr:rowOff>
    </xdr:from>
    <xdr:to>
      <xdr:col>16</xdr:col>
      <xdr:colOff>673100</xdr:colOff>
      <xdr:row>12</xdr:row>
      <xdr:rowOff>38100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8DC24EF-A3BF-4F49-9BDD-3A94CEA2312F}"/>
            </a:ext>
          </a:extLst>
        </xdr:cNvPr>
        <xdr:cNvSpPr/>
      </xdr:nvSpPr>
      <xdr:spPr>
        <a:xfrm>
          <a:off x="13589000" y="2260600"/>
          <a:ext cx="660400" cy="342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53</xdr:row>
      <xdr:rowOff>190500</xdr:rowOff>
    </xdr:from>
    <xdr:to>
      <xdr:col>9</xdr:col>
      <xdr:colOff>533400</xdr:colOff>
      <xdr:row>68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9F34F2-1D19-9945-9D17-65EE1C3D4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1214100"/>
          <a:ext cx="4991100" cy="2895600"/>
        </a:xfrm>
        <a:prstGeom prst="rect">
          <a:avLst/>
        </a:prstGeom>
      </xdr:spPr>
    </xdr:pic>
    <xdr:clientData/>
  </xdr:twoCellAnchor>
  <xdr:twoCellAnchor>
    <xdr:from>
      <xdr:col>3</xdr:col>
      <xdr:colOff>546100</xdr:colOff>
      <xdr:row>60</xdr:row>
      <xdr:rowOff>38100</xdr:rowOff>
    </xdr:from>
    <xdr:to>
      <xdr:col>9</xdr:col>
      <xdr:colOff>533400</xdr:colOff>
      <xdr:row>63</xdr:row>
      <xdr:rowOff>38100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3542708E-321B-5645-B0C1-D60755FBDA83}"/>
            </a:ext>
          </a:extLst>
        </xdr:cNvPr>
        <xdr:cNvSpPr/>
      </xdr:nvSpPr>
      <xdr:spPr>
        <a:xfrm>
          <a:off x="3975100" y="12484100"/>
          <a:ext cx="4940300" cy="6096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711201</xdr:colOff>
      <xdr:row>3</xdr:row>
      <xdr:rowOff>76200</xdr:rowOff>
    </xdr:from>
    <xdr:to>
      <xdr:col>10</xdr:col>
      <xdr:colOff>406401</xdr:colOff>
      <xdr:row>13</xdr:row>
      <xdr:rowOff>50912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193094-B8D8-7349-9192-588D54782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1" y="685800"/>
          <a:ext cx="5473700" cy="21337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177800</xdr:rowOff>
    </xdr:from>
    <xdr:to>
      <xdr:col>10</xdr:col>
      <xdr:colOff>571500</xdr:colOff>
      <xdr:row>29</xdr:row>
      <xdr:rowOff>74330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9959E1-484B-C64F-9EF6-F4CEB3AD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54500" y="3149600"/>
          <a:ext cx="5524500" cy="2944530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11</xdr:row>
      <xdr:rowOff>0</xdr:rowOff>
    </xdr:from>
    <xdr:to>
      <xdr:col>7</xdr:col>
      <xdr:colOff>622300</xdr:colOff>
      <xdr:row>13</xdr:row>
      <xdr:rowOff>63500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0A4C579F-3986-2545-8B96-80607634A87A}"/>
            </a:ext>
          </a:extLst>
        </xdr:cNvPr>
        <xdr:cNvSpPr/>
      </xdr:nvSpPr>
      <xdr:spPr>
        <a:xfrm>
          <a:off x="6553200" y="2362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76200</xdr:colOff>
      <xdr:row>26</xdr:row>
      <xdr:rowOff>127000</xdr:rowOff>
    </xdr:from>
    <xdr:to>
      <xdr:col>7</xdr:col>
      <xdr:colOff>50800</xdr:colOff>
      <xdr:row>28</xdr:row>
      <xdr:rowOff>190500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3AD216FB-CA86-CB44-B42D-73AFC6E2D04B}"/>
            </a:ext>
          </a:extLst>
        </xdr:cNvPr>
        <xdr:cNvSpPr/>
      </xdr:nvSpPr>
      <xdr:spPr>
        <a:xfrm>
          <a:off x="5981700" y="5537200"/>
          <a:ext cx="800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127000</xdr:colOff>
      <xdr:row>16</xdr:row>
      <xdr:rowOff>63500</xdr:rowOff>
    </xdr:from>
    <xdr:to>
      <xdr:col>16</xdr:col>
      <xdr:colOff>457200</xdr:colOff>
      <xdr:row>27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27C32E-1598-AA4B-A039-A662B9CC7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0" y="3441700"/>
          <a:ext cx="4457700" cy="2235200"/>
        </a:xfrm>
        <a:prstGeom prst="rect">
          <a:avLst/>
        </a:prstGeom>
      </xdr:spPr>
    </xdr:pic>
    <xdr:clientData/>
  </xdr:twoCellAnchor>
  <xdr:twoCellAnchor>
    <xdr:from>
      <xdr:col>14</xdr:col>
      <xdr:colOff>673100</xdr:colOff>
      <xdr:row>19</xdr:row>
      <xdr:rowOff>0</xdr:rowOff>
    </xdr:from>
    <xdr:to>
      <xdr:col>15</xdr:col>
      <xdr:colOff>800100</xdr:colOff>
      <xdr:row>21</xdr:row>
      <xdr:rowOff>63500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29687E71-80FA-7E45-B826-B062DC72C275}"/>
            </a:ext>
          </a:extLst>
        </xdr:cNvPr>
        <xdr:cNvSpPr/>
      </xdr:nvSpPr>
      <xdr:spPr>
        <a:xfrm>
          <a:off x="13182600" y="3987800"/>
          <a:ext cx="9525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635000</xdr:colOff>
      <xdr:row>31</xdr:row>
      <xdr:rowOff>76200</xdr:rowOff>
    </xdr:from>
    <xdr:to>
      <xdr:col>9</xdr:col>
      <xdr:colOff>105306</xdr:colOff>
      <xdr:row>41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31B8D2-7499-7748-8DFD-01A2803E6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64000" y="6502400"/>
          <a:ext cx="4423306" cy="2108200"/>
        </a:xfrm>
        <a:prstGeom prst="rect">
          <a:avLst/>
        </a:prstGeom>
      </xdr:spPr>
    </xdr:pic>
    <xdr:clientData/>
  </xdr:twoCellAnchor>
  <xdr:twoCellAnchor editAs="oneCell">
    <xdr:from>
      <xdr:col>9</xdr:col>
      <xdr:colOff>711200</xdr:colOff>
      <xdr:row>32</xdr:row>
      <xdr:rowOff>101600</xdr:rowOff>
    </xdr:from>
    <xdr:to>
      <xdr:col>18</xdr:col>
      <xdr:colOff>355600</xdr:colOff>
      <xdr:row>40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209DB-203B-5649-8661-48C109D17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3200" y="6731000"/>
          <a:ext cx="7073900" cy="1701800"/>
        </a:xfrm>
        <a:prstGeom prst="rect">
          <a:avLst/>
        </a:prstGeom>
      </xdr:spPr>
    </xdr:pic>
    <xdr:clientData/>
  </xdr:twoCellAnchor>
  <xdr:twoCellAnchor>
    <xdr:from>
      <xdr:col>3</xdr:col>
      <xdr:colOff>698500</xdr:colOff>
      <xdr:row>33</xdr:row>
      <xdr:rowOff>190500</xdr:rowOff>
    </xdr:from>
    <xdr:to>
      <xdr:col>5</xdr:col>
      <xdr:colOff>241300</xdr:colOff>
      <xdr:row>35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13165CE-E493-DC49-B839-BD6993A8748C}"/>
            </a:ext>
          </a:extLst>
        </xdr:cNvPr>
        <xdr:cNvSpPr/>
      </xdr:nvSpPr>
      <xdr:spPr>
        <a:xfrm>
          <a:off x="4127500" y="7023100"/>
          <a:ext cx="11938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457200</xdr:colOff>
      <xdr:row>34</xdr:row>
      <xdr:rowOff>50800</xdr:rowOff>
    </xdr:from>
    <xdr:to>
      <xdr:col>18</xdr:col>
      <xdr:colOff>355600</xdr:colOff>
      <xdr:row>36</xdr:row>
      <xdr:rowOff>114300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A250B34-E5C9-C543-9A96-D95D14862AA9}"/>
            </a:ext>
          </a:extLst>
        </xdr:cNvPr>
        <xdr:cNvSpPr/>
      </xdr:nvSpPr>
      <xdr:spPr>
        <a:xfrm>
          <a:off x="14617700" y="7213600"/>
          <a:ext cx="15494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723900</xdr:colOff>
      <xdr:row>43</xdr:row>
      <xdr:rowOff>114300</xdr:rowOff>
    </xdr:from>
    <xdr:to>
      <xdr:col>9</xdr:col>
      <xdr:colOff>38100</xdr:colOff>
      <xdr:row>47</xdr:row>
      <xdr:rowOff>190500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6F71F-EE62-8E4E-B3A8-832FF783B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52900" y="9105900"/>
          <a:ext cx="4267200" cy="889000"/>
        </a:xfrm>
        <a:prstGeom prst="rect">
          <a:avLst/>
        </a:prstGeom>
      </xdr:spPr>
    </xdr:pic>
    <xdr:clientData/>
  </xdr:twoCellAnchor>
  <xdr:twoCellAnchor>
    <xdr:from>
      <xdr:col>5</xdr:col>
      <xdr:colOff>698500</xdr:colOff>
      <xdr:row>44</xdr:row>
      <xdr:rowOff>139700</xdr:rowOff>
    </xdr:from>
    <xdr:to>
      <xdr:col>6</xdr:col>
      <xdr:colOff>419100</xdr:colOff>
      <xdr:row>47</xdr:row>
      <xdr:rowOff>0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394188BD-C366-3F4B-BD34-07203155FE81}"/>
            </a:ext>
          </a:extLst>
        </xdr:cNvPr>
        <xdr:cNvSpPr/>
      </xdr:nvSpPr>
      <xdr:spPr>
        <a:xfrm>
          <a:off x="5778500" y="9334500"/>
          <a:ext cx="546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762000</xdr:colOff>
      <xdr:row>46</xdr:row>
      <xdr:rowOff>0</xdr:rowOff>
    </xdr:from>
    <xdr:to>
      <xdr:col>5</xdr:col>
      <xdr:colOff>546100</xdr:colOff>
      <xdr:row>48</xdr:row>
      <xdr:rowOff>63500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D9932C05-B8EF-D04D-823E-52872A8CE739}"/>
            </a:ext>
          </a:extLst>
        </xdr:cNvPr>
        <xdr:cNvSpPr/>
      </xdr:nvSpPr>
      <xdr:spPr>
        <a:xfrm>
          <a:off x="4191000" y="9601200"/>
          <a:ext cx="1435100" cy="469900"/>
        </a:xfrm>
        <a:prstGeom prst="roundRect">
          <a:avLst/>
        </a:prstGeom>
        <a:noFill/>
        <a:ln w="10160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tthew Heun" id="{46ED2D70-607F-3A4D-B441-2D3E787D417A}" userId="S::mkh2@calvin.edu::790ed012-1f73-4faf-8a49-cb7986d8988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1" dT="2019-08-18T18:36:31.13" personId="{46ED2D70-607F-3A4D-B441-2D3E787D417A}" id="{CCD4E8CF-66CA-9A43-BEB3-4ADCD767A0F4}">
    <text>Marginal Propensity to Consume [-]</text>
  </threadedComment>
  <threadedComment ref="B1" dT="2019-08-18T18:35:59.67" personId="{46ED2D70-607F-3A4D-B441-2D3E787D417A}" id="{C9AAF3F9-AB53-B74F-AAB3-18867750431D}">
    <text>Energy total final consumption for the US in 2016 [MJ]. Source: IEA extended energy balances 2018.</text>
  </threadedComment>
  <threadedComment ref="C1" dT="2019-08-18T18:37:44.90" personId="{46ED2D70-607F-3A4D-B441-2D3E787D417A}" id="{EDB7354F-9C95-8646-AA76-D4E19F4DD586}">
    <text>U.S. Gross Domestic Product [2016 USD]. Source: Bureau of Economic Analysis, National income and product accounts, Ta- ble 1.1.5. Gross Domestic Product (https://apps.bea.gov/iTable/iTable.cfm?reqid=19&amp;step=2)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22" dT="2019-08-18T19:47:50.57" personId="{46ED2D70-607F-3A4D-B441-2D3E787D417A}" id="{8A4A3D01-E799-5040-9A80-B09F68D5AC04}">
    <text>Includes replacement cost</text>
  </threadedComment>
  <threadedComment ref="B49" dT="2019-08-18T19:47:41.02" personId="{46ED2D70-607F-3A4D-B441-2D3E787D417A}" id="{AD5239DB-E9DD-DA4E-B1B9-11F2751D8B5F}">
    <text>Includes replacement cost</text>
  </threadedComment>
  <threadedComment ref="B55" dT="2019-08-18T20:45:26.76" personId="{46ED2D70-607F-3A4D-B441-2D3E787D417A}" id="{CB3A4D37-2BE9-2B40-8B52-36B3DA26E41C}">
    <text>Ratio of embodied energy in LED vs. incandescent lights. [-]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21" dT="2019-08-18T19:47:50.57" personId="{46ED2D70-607F-3A4D-B441-2D3E787D417A}" id="{8A4A3D01-E799-5041-9A80-B09F68D5AC04}">
    <text>Includes replacement cost</text>
  </threadedComment>
  <threadedComment ref="B48" dT="2019-08-18T20:45:26.76" personId="{46ED2D70-607F-3A4D-B441-2D3E787D417A}" id="{CB3A4D37-2BE9-2B41-8B52-36B3DA26E41C}">
    <text>Ratio of embodied energy in LED vs. incandescent lights. [-]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C1" dT="2019-08-18T18:32:24.07" personId="{46ED2D70-607F-3A4D-B441-2D3E787D417A}" id="{8F9C5BBE-53F8-BF46-AE84-E7DFA054348B}">
    <text>Price of final energy [$/MJ]</text>
  </threadedComment>
  <threadedComment ref="H1" dT="2019-08-18T18:31:23.49" personId="{46ED2D70-607F-3A4D-B441-2D3E787D417A}" id="{5AD6B710-EB47-624A-8A2B-FFA78E02B50F}">
    <text>Lifetime cost of final energy for the energy efficient case.</text>
  </threadedComment>
</ThreadedComment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hyperlink" Target="http://www.thewatt.com/?q=node/175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3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.xml"/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A4CFF3-A260-BC45-BF73-A60387FE7CBF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92585-A351-C34A-B3E2-BAAF99BC71ED}">
  <dimension ref="A2:E34"/>
  <sheetViews>
    <sheetView workbookViewId="0">
      <selection activeCell="B5" sqref="B5"/>
    </sheetView>
  </sheetViews>
  <sheetFormatPr baseColWidth="10" defaultRowHeight="16" x14ac:dyDescent="0.2"/>
  <cols>
    <col min="1" max="1" width="12.5" bestFit="1" customWidth="1"/>
  </cols>
  <sheetData>
    <row r="2" spans="1:2" x14ac:dyDescent="0.2">
      <c r="A2" t="s">
        <v>8</v>
      </c>
      <c r="B2">
        <v>41868000</v>
      </c>
    </row>
    <row r="3" spans="1:2" x14ac:dyDescent="0.2">
      <c r="A3" t="s">
        <v>11</v>
      </c>
      <c r="B3">
        <v>3.6</v>
      </c>
    </row>
    <row r="5" spans="1:2" x14ac:dyDescent="0.2">
      <c r="A5" t="s">
        <v>54</v>
      </c>
      <c r="B5">
        <v>131.76</v>
      </c>
    </row>
    <row r="34" spans="5:5" x14ac:dyDescent="0.2">
      <c r="E34" t="s">
        <v>55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6336A-F271-1942-B809-1333D9C652B1}">
  <dimension ref="A1:C2"/>
  <sheetViews>
    <sheetView workbookViewId="0">
      <selection activeCell="A3" sqref="A3"/>
    </sheetView>
  </sheetViews>
  <sheetFormatPr baseColWidth="10" defaultRowHeight="16" x14ac:dyDescent="0.2"/>
  <cols>
    <col min="2" max="2" width="12.1640625" bestFit="1" customWidth="1"/>
  </cols>
  <sheetData>
    <row r="1" spans="1:3" x14ac:dyDescent="0.2">
      <c r="A1" t="s">
        <v>3</v>
      </c>
      <c r="B1" t="s">
        <v>4</v>
      </c>
      <c r="C1" t="s">
        <v>5</v>
      </c>
    </row>
    <row r="2" spans="1:3" x14ac:dyDescent="0.2">
      <c r="A2">
        <v>0.95</v>
      </c>
      <c r="B2">
        <v>80078472810000</v>
      </c>
      <c r="C2" s="1">
        <v>20580220000000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32365-1DE6-2B42-AB77-F0F221D6C441}">
  <dimension ref="A4:G86"/>
  <sheetViews>
    <sheetView tabSelected="1" topLeftCell="A21" zoomScaleNormal="100" workbookViewId="0">
      <selection activeCell="A90" sqref="A90:XFD90"/>
    </sheetView>
  </sheetViews>
  <sheetFormatPr baseColWidth="10" defaultRowHeight="16" x14ac:dyDescent="0.2"/>
  <cols>
    <col min="1" max="1" width="24.33203125" customWidth="1"/>
  </cols>
  <sheetData>
    <row r="4" spans="1:3" x14ac:dyDescent="0.2">
      <c r="A4" s="2" t="s">
        <v>13</v>
      </c>
    </row>
    <row r="5" spans="1:3" x14ac:dyDescent="0.2">
      <c r="A5" t="s">
        <v>9</v>
      </c>
      <c r="B5" s="3">
        <v>0.11</v>
      </c>
      <c r="C5" t="s">
        <v>10</v>
      </c>
    </row>
    <row r="6" spans="1:3" x14ac:dyDescent="0.2">
      <c r="A6" t="s">
        <v>9</v>
      </c>
      <c r="B6" s="8">
        <f>B5/MJ_per_kWhr</f>
        <v>3.0555555555555555E-2</v>
      </c>
      <c r="C6" t="s">
        <v>12</v>
      </c>
    </row>
    <row r="8" spans="1:3" ht="26" x14ac:dyDescent="0.3">
      <c r="A8" s="4" t="s">
        <v>17</v>
      </c>
    </row>
    <row r="9" spans="1:3" x14ac:dyDescent="0.2">
      <c r="A9" s="2"/>
    </row>
    <row r="10" spans="1:3" x14ac:dyDescent="0.2">
      <c r="A10" t="s">
        <v>42</v>
      </c>
      <c r="B10" s="3">
        <v>15.39</v>
      </c>
      <c r="C10" t="s">
        <v>19</v>
      </c>
    </row>
    <row r="11" spans="1:3" x14ac:dyDescent="0.2">
      <c r="A11" t="s">
        <v>42</v>
      </c>
      <c r="B11">
        <f>B10/6</f>
        <v>2.5649999999999999</v>
      </c>
      <c r="C11" t="s">
        <v>14</v>
      </c>
    </row>
    <row r="12" spans="1:3" x14ac:dyDescent="0.2">
      <c r="A12" t="s">
        <v>20</v>
      </c>
      <c r="B12" s="3">
        <v>1000</v>
      </c>
      <c r="C12" t="s">
        <v>21</v>
      </c>
    </row>
    <row r="13" spans="1:3" x14ac:dyDescent="0.2">
      <c r="A13" t="s">
        <v>22</v>
      </c>
      <c r="B13" s="3">
        <v>60</v>
      </c>
      <c r="C13" t="s">
        <v>23</v>
      </c>
    </row>
    <row r="14" spans="1:3" x14ac:dyDescent="0.2">
      <c r="A14" s="5"/>
    </row>
    <row r="15" spans="1:3" x14ac:dyDescent="0.2">
      <c r="A15" t="s">
        <v>25</v>
      </c>
      <c r="B15" s="3">
        <v>7.23</v>
      </c>
      <c r="C15" t="s">
        <v>24</v>
      </c>
    </row>
    <row r="16" spans="1:3" x14ac:dyDescent="0.2">
      <c r="A16" t="s">
        <v>26</v>
      </c>
      <c r="B16" s="3">
        <v>3</v>
      </c>
      <c r="C16" t="s">
        <v>27</v>
      </c>
    </row>
    <row r="17" spans="1:5" x14ac:dyDescent="0.2">
      <c r="A17" t="s">
        <v>20</v>
      </c>
      <c r="B17" s="3">
        <v>0.9</v>
      </c>
      <c r="C17" t="s">
        <v>28</v>
      </c>
    </row>
    <row r="18" spans="1:5" x14ac:dyDescent="0.2">
      <c r="A18" t="s">
        <v>20</v>
      </c>
      <c r="B18" s="6">
        <f>B17*B16*365.25</f>
        <v>986.17500000000007</v>
      </c>
      <c r="C18" t="s">
        <v>21</v>
      </c>
    </row>
    <row r="19" spans="1:5" x14ac:dyDescent="0.2">
      <c r="B19" s="6"/>
    </row>
    <row r="20" spans="1:5" x14ac:dyDescent="0.2">
      <c r="A20" t="s">
        <v>44</v>
      </c>
      <c r="B20" s="8">
        <f>B11/B17</f>
        <v>2.85</v>
      </c>
      <c r="C20" t="s">
        <v>34</v>
      </c>
    </row>
    <row r="21" spans="1:5" x14ac:dyDescent="0.2">
      <c r="B21" s="6"/>
    </row>
    <row r="22" spans="1:5" x14ac:dyDescent="0.2">
      <c r="A22" t="s">
        <v>33</v>
      </c>
      <c r="B22">
        <f>B15+B20</f>
        <v>10.08</v>
      </c>
      <c r="C22" t="s">
        <v>34</v>
      </c>
      <c r="E22" t="s">
        <v>36</v>
      </c>
    </row>
    <row r="23" spans="1:5" x14ac:dyDescent="0.2">
      <c r="B23" s="6"/>
    </row>
    <row r="24" spans="1:5" x14ac:dyDescent="0.2">
      <c r="B24" s="6"/>
    </row>
    <row r="25" spans="1:5" x14ac:dyDescent="0.2">
      <c r="A25" t="s">
        <v>29</v>
      </c>
      <c r="B25" s="3">
        <v>60.29</v>
      </c>
      <c r="C25" t="s">
        <v>41</v>
      </c>
    </row>
    <row r="26" spans="1:5" x14ac:dyDescent="0.2">
      <c r="A26" t="s">
        <v>29</v>
      </c>
      <c r="B26" s="6">
        <f>B25*MJ_per_kWhr</f>
        <v>217.04400000000001</v>
      </c>
      <c r="C26" t="s">
        <v>37</v>
      </c>
    </row>
    <row r="27" spans="1:5" x14ac:dyDescent="0.2">
      <c r="A27" t="s">
        <v>47</v>
      </c>
      <c r="B27">
        <f>B25/B17</f>
        <v>66.98888888888888</v>
      </c>
      <c r="C27" t="s">
        <v>35</v>
      </c>
    </row>
    <row r="28" spans="1:5" x14ac:dyDescent="0.2">
      <c r="A28" t="s">
        <v>47</v>
      </c>
      <c r="B28" s="8">
        <f>B27*MJ_per_kWhr</f>
        <v>241.15999999999997</v>
      </c>
      <c r="C28" t="s">
        <v>37</v>
      </c>
    </row>
    <row r="29" spans="1:5" x14ac:dyDescent="0.2">
      <c r="A29" t="s">
        <v>46</v>
      </c>
      <c r="B29">
        <f>B13 / 1000 * B16 * 365.25</f>
        <v>65.745000000000005</v>
      </c>
      <c r="C29" t="s">
        <v>35</v>
      </c>
    </row>
    <row r="30" spans="1:5" x14ac:dyDescent="0.2">
      <c r="A30" t="s">
        <v>46</v>
      </c>
      <c r="B30" s="8">
        <f>B29*MJ_per_kWhr</f>
        <v>236.68200000000002</v>
      </c>
      <c r="C30" t="s">
        <v>37</v>
      </c>
    </row>
    <row r="34" spans="1:7" x14ac:dyDescent="0.2">
      <c r="G34" s="12" t="s">
        <v>30</v>
      </c>
    </row>
    <row r="35" spans="1:7" ht="26" x14ac:dyDescent="0.3">
      <c r="A35" s="4" t="s">
        <v>18</v>
      </c>
    </row>
    <row r="36" spans="1:7" x14ac:dyDescent="0.2">
      <c r="A36" s="2"/>
    </row>
    <row r="37" spans="1:7" x14ac:dyDescent="0.2">
      <c r="A37" t="s">
        <v>42</v>
      </c>
      <c r="B37" s="3">
        <v>23.99</v>
      </c>
      <c r="C37" t="s">
        <v>15</v>
      </c>
    </row>
    <row r="38" spans="1:7" x14ac:dyDescent="0.2">
      <c r="A38" t="s">
        <v>42</v>
      </c>
      <c r="B38">
        <f>B37/24</f>
        <v>0.99958333333333327</v>
      </c>
      <c r="C38" t="s">
        <v>14</v>
      </c>
    </row>
    <row r="39" spans="1:7" x14ac:dyDescent="0.2">
      <c r="A39" t="s">
        <v>20</v>
      </c>
      <c r="B39" s="3">
        <v>12</v>
      </c>
      <c r="C39" t="s">
        <v>31</v>
      </c>
    </row>
    <row r="40" spans="1:7" x14ac:dyDescent="0.2">
      <c r="B40" s="6">
        <f>B39*B44*365.25</f>
        <v>13090.909090909094</v>
      </c>
      <c r="C40" t="s">
        <v>21</v>
      </c>
    </row>
    <row r="41" spans="1:7" x14ac:dyDescent="0.2">
      <c r="A41" t="s">
        <v>22</v>
      </c>
      <c r="B41" s="3">
        <v>8.5</v>
      </c>
      <c r="C41" t="s">
        <v>23</v>
      </c>
    </row>
    <row r="43" spans="1:7" x14ac:dyDescent="0.2">
      <c r="A43" t="s">
        <v>25</v>
      </c>
      <c r="B43" s="3">
        <v>1.02</v>
      </c>
      <c r="C43" t="s">
        <v>24</v>
      </c>
    </row>
    <row r="44" spans="1:7" x14ac:dyDescent="0.2">
      <c r="A44" t="s">
        <v>26</v>
      </c>
      <c r="B44">
        <f>B43/B5 * 1000 / 365.25 / 8.5</f>
        <v>2.9867463132350203</v>
      </c>
      <c r="C44" t="s">
        <v>32</v>
      </c>
    </row>
    <row r="45" spans="1:7" x14ac:dyDescent="0.2">
      <c r="A45" t="s">
        <v>20</v>
      </c>
      <c r="B45" s="3">
        <v>12</v>
      </c>
      <c r="C45" t="s">
        <v>31</v>
      </c>
    </row>
    <row r="46" spans="1:7" x14ac:dyDescent="0.2">
      <c r="B46" s="6"/>
    </row>
    <row r="47" spans="1:7" x14ac:dyDescent="0.2">
      <c r="A47" t="s">
        <v>45</v>
      </c>
      <c r="B47" s="8">
        <f>B38/B45</f>
        <v>8.3298611111111101E-2</v>
      </c>
      <c r="C47" t="s">
        <v>34</v>
      </c>
    </row>
    <row r="49" spans="1:3" x14ac:dyDescent="0.2">
      <c r="A49" t="s">
        <v>33</v>
      </c>
      <c r="B49">
        <f>B43+B47</f>
        <v>1.1032986111111112</v>
      </c>
      <c r="C49" t="s">
        <v>34</v>
      </c>
    </row>
    <row r="55" spans="1:3" x14ac:dyDescent="0.2">
      <c r="A55" t="s">
        <v>39</v>
      </c>
      <c r="B55" s="3">
        <v>2</v>
      </c>
      <c r="C55" s="7" t="s">
        <v>38</v>
      </c>
    </row>
    <row r="56" spans="1:3" x14ac:dyDescent="0.2">
      <c r="A56" t="s">
        <v>40</v>
      </c>
      <c r="B56">
        <f>B55*B25</f>
        <v>120.58</v>
      </c>
      <c r="C56" s="7" t="s">
        <v>41</v>
      </c>
    </row>
    <row r="57" spans="1:3" x14ac:dyDescent="0.2">
      <c r="A57" t="s">
        <v>49</v>
      </c>
      <c r="B57">
        <f>B56/B45</f>
        <v>10.048333333333334</v>
      </c>
      <c r="C57" t="s">
        <v>35</v>
      </c>
    </row>
    <row r="58" spans="1:3" x14ac:dyDescent="0.2">
      <c r="A58" t="s">
        <v>49</v>
      </c>
      <c r="B58" s="8">
        <f>B57*MJ_per_kWhr</f>
        <v>36.173999999999999</v>
      </c>
      <c r="C58" t="s">
        <v>37</v>
      </c>
    </row>
    <row r="59" spans="1:3" x14ac:dyDescent="0.2">
      <c r="A59" t="s">
        <v>48</v>
      </c>
      <c r="B59">
        <f>B41/1000 * B44 * 365.25</f>
        <v>9.2727272727272751</v>
      </c>
      <c r="C59" t="s">
        <v>35</v>
      </c>
    </row>
    <row r="60" spans="1:3" x14ac:dyDescent="0.2">
      <c r="A60" t="s">
        <v>48</v>
      </c>
      <c r="B60" s="8">
        <f>B59*MJ_per_kWhr</f>
        <v>33.38181818181819</v>
      </c>
      <c r="C60" t="s">
        <v>37</v>
      </c>
    </row>
    <row r="64" spans="1:3" x14ac:dyDescent="0.2">
      <c r="A64" t="s">
        <v>2</v>
      </c>
      <c r="B64" s="8">
        <v>0.06</v>
      </c>
      <c r="C64" t="s">
        <v>38</v>
      </c>
    </row>
    <row r="69" spans="1:5" x14ac:dyDescent="0.2">
      <c r="D69" t="s">
        <v>87</v>
      </c>
    </row>
    <row r="70" spans="1:5" x14ac:dyDescent="0.2">
      <c r="A70" t="s">
        <v>72</v>
      </c>
      <c r="B70">
        <f>1 / (1-MPC) - 1</f>
        <v>18.999999999999982</v>
      </c>
      <c r="C70" s="7" t="s">
        <v>73</v>
      </c>
      <c r="D70" s="7" t="s">
        <v>90</v>
      </c>
    </row>
    <row r="71" spans="1:5" x14ac:dyDescent="0.2">
      <c r="A71" t="s">
        <v>74</v>
      </c>
      <c r="B71">
        <f>TFC/GDP</f>
        <v>3.8910406599152001</v>
      </c>
      <c r="C71" t="s">
        <v>75</v>
      </c>
    </row>
    <row r="72" spans="1:5" x14ac:dyDescent="0.2">
      <c r="A72" t="s">
        <v>78</v>
      </c>
      <c r="B72">
        <f>B30-B60</f>
        <v>203.30018181818184</v>
      </c>
      <c r="C72" t="s">
        <v>37</v>
      </c>
      <c r="D72" s="7" t="s">
        <v>82</v>
      </c>
    </row>
    <row r="73" spans="1:5" x14ac:dyDescent="0.2">
      <c r="A73" t="s">
        <v>79</v>
      </c>
      <c r="B73">
        <f>B28-B58</f>
        <v>204.98599999999996</v>
      </c>
      <c r="C73" t="s">
        <v>37</v>
      </c>
      <c r="D73" s="7" t="s">
        <v>83</v>
      </c>
    </row>
    <row r="74" spans="1:5" x14ac:dyDescent="0.2">
      <c r="A74" t="s">
        <v>80</v>
      </c>
      <c r="B74">
        <f>B20-B47</f>
        <v>2.7667013888888889</v>
      </c>
      <c r="C74" t="s">
        <v>34</v>
      </c>
      <c r="D74" s="7" t="s">
        <v>84</v>
      </c>
    </row>
    <row r="76" spans="1:5" x14ac:dyDescent="0.2">
      <c r="A76" t="s">
        <v>81</v>
      </c>
      <c r="B76">
        <f xml:space="preserve"> (1 - B64) * B72</f>
        <v>191.10217090909092</v>
      </c>
      <c r="C76" t="s">
        <v>37</v>
      </c>
      <c r="D76" s="7" t="s">
        <v>85</v>
      </c>
    </row>
    <row r="77" spans="1:5" x14ac:dyDescent="0.2">
      <c r="A77" t="s">
        <v>69</v>
      </c>
      <c r="B77">
        <f>B73+B72</f>
        <v>408.28618181818183</v>
      </c>
      <c r="C77" t="s">
        <v>37</v>
      </c>
      <c r="D77" s="7" t="s">
        <v>86</v>
      </c>
    </row>
    <row r="78" spans="1:5" x14ac:dyDescent="0.2">
      <c r="A78" t="s">
        <v>70</v>
      </c>
      <c r="B78">
        <f>B73+B76</f>
        <v>396.08817090909088</v>
      </c>
      <c r="C78" t="s">
        <v>37</v>
      </c>
      <c r="D78" s="7" t="s">
        <v>88</v>
      </c>
    </row>
    <row r="79" spans="1:5" x14ac:dyDescent="0.2">
      <c r="A79" t="s">
        <v>93</v>
      </c>
      <c r="B79">
        <f>B76*B6</f>
        <v>5.8392330000000001</v>
      </c>
      <c r="C79" t="s">
        <v>34</v>
      </c>
      <c r="D79" s="7"/>
    </row>
    <row r="80" spans="1:5" x14ac:dyDescent="0.2">
      <c r="A80" t="s">
        <v>71</v>
      </c>
      <c r="B80">
        <f>B76*B6 + B74</f>
        <v>8.6059343888888886</v>
      </c>
      <c r="C80" t="s">
        <v>34</v>
      </c>
      <c r="D80" s="7" t="s">
        <v>89</v>
      </c>
      <c r="E80" t="s">
        <v>16</v>
      </c>
    </row>
    <row r="82" spans="1:4" x14ac:dyDescent="0.2">
      <c r="A82" t="s">
        <v>91</v>
      </c>
      <c r="B82">
        <f>(B76*B6 + B74) * B70 * B71</f>
        <v>636.23477185085301</v>
      </c>
      <c r="C82" t="s">
        <v>37</v>
      </c>
      <c r="D82" s="7" t="s">
        <v>92</v>
      </c>
    </row>
    <row r="84" spans="1:4" x14ac:dyDescent="0.2">
      <c r="A84" t="s">
        <v>76</v>
      </c>
      <c r="B84">
        <f>B6 + B74 / (1 - B64) / B72</f>
        <v>4.5033158691759771E-2</v>
      </c>
      <c r="C84" t="s">
        <v>12</v>
      </c>
      <c r="D84" s="7" t="s">
        <v>94</v>
      </c>
    </row>
    <row r="85" spans="1:4" x14ac:dyDescent="0.2">
      <c r="A85" t="s">
        <v>95</v>
      </c>
      <c r="B85">
        <f>B73/B76</f>
        <v>1.0726513415565211</v>
      </c>
      <c r="C85" t="s">
        <v>73</v>
      </c>
      <c r="D85" s="7" t="s">
        <v>96</v>
      </c>
    </row>
    <row r="86" spans="1:4" x14ac:dyDescent="0.2">
      <c r="A86" t="s">
        <v>77</v>
      </c>
      <c r="B86">
        <f>1 - (1 - B64) * (1 + B85 - B70*B71*B84)</f>
        <v>2.1812414469778156</v>
      </c>
      <c r="C86" t="s">
        <v>73</v>
      </c>
      <c r="D86" s="7" t="s">
        <v>97</v>
      </c>
    </row>
  </sheetData>
  <hyperlinks>
    <hyperlink ref="G34" r:id="rId1" xr:uid="{2DA89118-5A20-3B46-AE86-7F3FC43B5CD8}"/>
  </hyperlinks>
  <pageMargins left="0.7" right="0.7" top="0.75" bottom="0.75" header="0.3" footer="0.3"/>
  <pageSetup orientation="portrait" horizontalDpi="0" verticalDpi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946B2-BDB9-364B-81F3-1491B9EC8D08}">
  <dimension ref="A4:L79"/>
  <sheetViews>
    <sheetView workbookViewId="0">
      <selection activeCell="B53" sqref="B53"/>
    </sheetView>
  </sheetViews>
  <sheetFormatPr baseColWidth="10" defaultRowHeight="16" x14ac:dyDescent="0.2"/>
  <cols>
    <col min="1" max="1" width="23.33203125" bestFit="1" customWidth="1"/>
  </cols>
  <sheetData>
    <row r="4" spans="1:5" x14ac:dyDescent="0.2">
      <c r="A4" s="2" t="s">
        <v>13</v>
      </c>
    </row>
    <row r="5" spans="1:5" x14ac:dyDescent="0.2">
      <c r="A5" t="s">
        <v>50</v>
      </c>
      <c r="B5" s="3">
        <v>2.82</v>
      </c>
      <c r="C5" t="s">
        <v>52</v>
      </c>
    </row>
    <row r="6" spans="1:5" x14ac:dyDescent="0.2">
      <c r="A6" t="s">
        <v>50</v>
      </c>
      <c r="B6" s="8">
        <f>B5/MJ_per_gal</f>
        <v>2.1402550091074682E-2</v>
      </c>
      <c r="C6" t="s">
        <v>12</v>
      </c>
    </row>
    <row r="8" spans="1:5" ht="26" x14ac:dyDescent="0.3">
      <c r="A8" s="4" t="s">
        <v>17</v>
      </c>
    </row>
    <row r="9" spans="1:5" x14ac:dyDescent="0.2">
      <c r="A9" s="2"/>
    </row>
    <row r="10" spans="1:5" x14ac:dyDescent="0.2">
      <c r="A10" t="s">
        <v>42</v>
      </c>
      <c r="B10" s="3">
        <v>37149</v>
      </c>
      <c r="C10" t="s">
        <v>53</v>
      </c>
    </row>
    <row r="11" spans="1:5" x14ac:dyDescent="0.2">
      <c r="A11" t="s">
        <v>20</v>
      </c>
      <c r="B11" s="3">
        <v>11.4</v>
      </c>
      <c r="C11" t="s">
        <v>31</v>
      </c>
    </row>
    <row r="12" spans="1:5" x14ac:dyDescent="0.2">
      <c r="B12" s="6"/>
    </row>
    <row r="13" spans="1:5" x14ac:dyDescent="0.2">
      <c r="A13" s="10" t="s">
        <v>60</v>
      </c>
      <c r="B13" s="3">
        <v>24.7</v>
      </c>
      <c r="C13" t="s">
        <v>62</v>
      </c>
    </row>
    <row r="14" spans="1:5" x14ac:dyDescent="0.2">
      <c r="A14" s="6"/>
      <c r="B14" s="6"/>
      <c r="C14" s="6"/>
      <c r="E14" t="s">
        <v>56</v>
      </c>
    </row>
    <row r="15" spans="1:5" x14ac:dyDescent="0.2">
      <c r="A15" t="s">
        <v>26</v>
      </c>
      <c r="B15" s="3">
        <v>13476</v>
      </c>
      <c r="C15" t="s">
        <v>59</v>
      </c>
    </row>
    <row r="16" spans="1:5" x14ac:dyDescent="0.2">
      <c r="B16" s="6"/>
    </row>
    <row r="17" spans="1:12" x14ac:dyDescent="0.2">
      <c r="B17" s="6"/>
    </row>
    <row r="18" spans="1:12" x14ac:dyDescent="0.2">
      <c r="B18" s="6"/>
    </row>
    <row r="19" spans="1:12" x14ac:dyDescent="0.2">
      <c r="A19" t="s">
        <v>44</v>
      </c>
      <c r="B19" s="8">
        <f>B10/B11</f>
        <v>3258.6842105263158</v>
      </c>
      <c r="C19" t="s">
        <v>34</v>
      </c>
    </row>
    <row r="20" spans="1:12" x14ac:dyDescent="0.2">
      <c r="B20" s="6"/>
    </row>
    <row r="21" spans="1:12" x14ac:dyDescent="0.2">
      <c r="A21" t="s">
        <v>25</v>
      </c>
      <c r="B21">
        <f>B15/B13*B5</f>
        <v>1538.5554655870444</v>
      </c>
      <c r="C21" t="s">
        <v>34</v>
      </c>
    </row>
    <row r="22" spans="1:12" x14ac:dyDescent="0.2">
      <c r="B22" s="6"/>
    </row>
    <row r="23" spans="1:12" x14ac:dyDescent="0.2">
      <c r="B23" s="6"/>
    </row>
    <row r="24" spans="1:12" x14ac:dyDescent="0.2">
      <c r="A24" t="s">
        <v>29</v>
      </c>
      <c r="B24">
        <v>76000</v>
      </c>
      <c r="C24" t="s">
        <v>65</v>
      </c>
    </row>
    <row r="25" spans="1:12" x14ac:dyDescent="0.2">
      <c r="A25" t="s">
        <v>29</v>
      </c>
      <c r="B25" s="3">
        <f>B24*MJ_per_kWhr</f>
        <v>273600</v>
      </c>
      <c r="C25" t="s">
        <v>66</v>
      </c>
    </row>
    <row r="26" spans="1:12" x14ac:dyDescent="0.2">
      <c r="A26" t="s">
        <v>47</v>
      </c>
      <c r="B26" s="8">
        <f>B25/B11</f>
        <v>24000</v>
      </c>
      <c r="C26" t="s">
        <v>37</v>
      </c>
    </row>
    <row r="27" spans="1:12" x14ac:dyDescent="0.2">
      <c r="A27" t="s">
        <v>46</v>
      </c>
      <c r="B27">
        <f>B15/B13</f>
        <v>545.58704453441294</v>
      </c>
      <c r="C27" t="s">
        <v>63</v>
      </c>
    </row>
    <row r="28" spans="1:12" x14ac:dyDescent="0.2">
      <c r="A28" t="s">
        <v>46</v>
      </c>
      <c r="B28" s="8">
        <f>B27*MJ_per_gal</f>
        <v>71886.548987854243</v>
      </c>
      <c r="C28" t="s">
        <v>37</v>
      </c>
    </row>
    <row r="29" spans="1:12" x14ac:dyDescent="0.2">
      <c r="L29" t="s">
        <v>58</v>
      </c>
    </row>
    <row r="31" spans="1:12" x14ac:dyDescent="0.2">
      <c r="E31" t="s">
        <v>57</v>
      </c>
    </row>
    <row r="34" spans="1:12" ht="26" x14ac:dyDescent="0.3">
      <c r="A34" s="4" t="s">
        <v>18</v>
      </c>
    </row>
    <row r="35" spans="1:12" x14ac:dyDescent="0.2">
      <c r="A35" s="2"/>
    </row>
    <row r="36" spans="1:12" x14ac:dyDescent="0.2">
      <c r="A36" t="s">
        <v>42</v>
      </c>
      <c r="B36" s="6">
        <f>B10+1000</f>
        <v>38149</v>
      </c>
      <c r="C36" t="s">
        <v>53</v>
      </c>
    </row>
    <row r="37" spans="1:12" x14ac:dyDescent="0.2">
      <c r="A37" t="s">
        <v>20</v>
      </c>
      <c r="B37" s="3">
        <f>B11</f>
        <v>11.4</v>
      </c>
      <c r="C37" t="s">
        <v>31</v>
      </c>
    </row>
    <row r="38" spans="1:12" x14ac:dyDescent="0.2">
      <c r="B38" s="6"/>
    </row>
    <row r="39" spans="1:12" x14ac:dyDescent="0.2">
      <c r="A39" t="s">
        <v>60</v>
      </c>
      <c r="B39" s="3">
        <f>B13*1.25</f>
        <v>30.875</v>
      </c>
      <c r="C39" t="s">
        <v>62</v>
      </c>
    </row>
    <row r="41" spans="1:12" x14ac:dyDescent="0.2">
      <c r="A41" t="s">
        <v>25</v>
      </c>
      <c r="B41" s="6">
        <f>B15/B39*B5</f>
        <v>1230.8443724696356</v>
      </c>
      <c r="C41" t="s">
        <v>24</v>
      </c>
    </row>
    <row r="42" spans="1:12" x14ac:dyDescent="0.2">
      <c r="E42" t="s">
        <v>61</v>
      </c>
      <c r="L42" t="s">
        <v>64</v>
      </c>
    </row>
    <row r="43" spans="1:12" x14ac:dyDescent="0.2">
      <c r="B43" s="3"/>
    </row>
    <row r="44" spans="1:12" x14ac:dyDescent="0.2">
      <c r="B44" s="6"/>
    </row>
    <row r="45" spans="1:12" x14ac:dyDescent="0.2">
      <c r="A45" t="s">
        <v>45</v>
      </c>
      <c r="B45" s="8">
        <f>B36/B37</f>
        <v>3346.4035087719299</v>
      </c>
      <c r="C45" t="s">
        <v>34</v>
      </c>
    </row>
    <row r="48" spans="1:12" x14ac:dyDescent="0.2">
      <c r="A48" t="s">
        <v>39</v>
      </c>
      <c r="B48" s="3">
        <v>1</v>
      </c>
      <c r="C48" s="7" t="s">
        <v>38</v>
      </c>
    </row>
    <row r="49" spans="1:5" x14ac:dyDescent="0.2">
      <c r="A49" t="s">
        <v>40</v>
      </c>
      <c r="B49">
        <f>B48*B25</f>
        <v>273600</v>
      </c>
      <c r="C49" s="7" t="s">
        <v>66</v>
      </c>
      <c r="E49" s="9" t="s">
        <v>67</v>
      </c>
    </row>
    <row r="50" spans="1:5" x14ac:dyDescent="0.2">
      <c r="A50" t="s">
        <v>49</v>
      </c>
      <c r="B50" s="11">
        <f>B49/B11</f>
        <v>24000</v>
      </c>
      <c r="C50" t="s">
        <v>37</v>
      </c>
    </row>
    <row r="51" spans="1:5" x14ac:dyDescent="0.2">
      <c r="A51" t="s">
        <v>48</v>
      </c>
      <c r="B51">
        <f>B15/B39</f>
        <v>436.46963562753035</v>
      </c>
      <c r="C51" t="s">
        <v>63</v>
      </c>
    </row>
    <row r="52" spans="1:5" x14ac:dyDescent="0.2">
      <c r="A52" t="s">
        <v>48</v>
      </c>
      <c r="B52" s="8">
        <f>B51*MJ_per_gal</f>
        <v>57509.239190283392</v>
      </c>
      <c r="C52" t="s">
        <v>37</v>
      </c>
    </row>
    <row r="56" spans="1:5" x14ac:dyDescent="0.2">
      <c r="A56" t="s">
        <v>2</v>
      </c>
      <c r="B56" s="8">
        <v>0</v>
      </c>
      <c r="C56" t="s">
        <v>38</v>
      </c>
    </row>
    <row r="70" spans="4:5" x14ac:dyDescent="0.2">
      <c r="E70" s="9" t="s">
        <v>51</v>
      </c>
    </row>
    <row r="79" spans="4:5" x14ac:dyDescent="0.2">
      <c r="D79" s="9" t="s">
        <v>51</v>
      </c>
    </row>
  </sheetData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45772-6A23-A140-A535-BB781130470A}">
  <dimension ref="A1:J3"/>
  <sheetViews>
    <sheetView workbookViewId="0">
      <selection activeCell="C2" sqref="C2"/>
    </sheetView>
  </sheetViews>
  <sheetFormatPr baseColWidth="10" defaultRowHeight="16" x14ac:dyDescent="0.2"/>
  <cols>
    <col min="5" max="5" width="14.83203125" bestFit="1" customWidth="1"/>
    <col min="6" max="6" width="15.33203125" bestFit="1" customWidth="1"/>
    <col min="7" max="7" width="15.1640625" bestFit="1" customWidth="1"/>
    <col min="8" max="8" width="13" bestFit="1" customWidth="1"/>
    <col min="9" max="10" width="13.5" bestFit="1" customWidth="1"/>
  </cols>
  <sheetData>
    <row r="1" spans="1:10" x14ac:dyDescent="0.2">
      <c r="A1" t="s">
        <v>0</v>
      </c>
      <c r="B1" t="s">
        <v>1</v>
      </c>
      <c r="C1" t="s">
        <v>68</v>
      </c>
      <c r="D1" t="s">
        <v>2</v>
      </c>
      <c r="E1" t="s">
        <v>44</v>
      </c>
      <c r="F1" t="s">
        <v>47</v>
      </c>
      <c r="G1" t="s">
        <v>46</v>
      </c>
      <c r="H1" t="s">
        <v>45</v>
      </c>
      <c r="I1" t="s">
        <v>49</v>
      </c>
      <c r="J1" t="s">
        <v>48</v>
      </c>
    </row>
    <row r="2" spans="1:10" x14ac:dyDescent="0.2">
      <c r="A2" t="s">
        <v>43</v>
      </c>
      <c r="B2" t="s">
        <v>6</v>
      </c>
      <c r="C2">
        <f>Light!B6</f>
        <v>3.0555555555555555E-2</v>
      </c>
      <c r="D2">
        <f>Light!B64</f>
        <v>0.06</v>
      </c>
      <c r="E2">
        <f>Light!B20</f>
        <v>2.85</v>
      </c>
      <c r="F2">
        <f>Light!B28</f>
        <v>241.15999999999997</v>
      </c>
      <c r="G2">
        <f>Light!B30</f>
        <v>236.68200000000002</v>
      </c>
      <c r="H2">
        <f>Light!B47</f>
        <v>8.3298611111111101E-2</v>
      </c>
      <c r="I2">
        <f>Light!B58</f>
        <v>36.173999999999999</v>
      </c>
      <c r="J2">
        <f>Light!B60</f>
        <v>33.38181818181819</v>
      </c>
    </row>
    <row r="3" spans="1:10" x14ac:dyDescent="0.2">
      <c r="A3" t="s">
        <v>43</v>
      </c>
      <c r="B3" t="s">
        <v>7</v>
      </c>
      <c r="C3">
        <f>Car!B6</f>
        <v>2.1402550091074682E-2</v>
      </c>
      <c r="D3">
        <f>Car!B56</f>
        <v>0</v>
      </c>
      <c r="E3">
        <f>Car!B19</f>
        <v>3258.6842105263158</v>
      </c>
      <c r="F3">
        <f>Car!B26</f>
        <v>24000</v>
      </c>
      <c r="G3">
        <f>Car!B28</f>
        <v>71886.548987854243</v>
      </c>
      <c r="H3">
        <f>Car!B45</f>
        <v>3346.4035087719299</v>
      </c>
      <c r="I3">
        <f>Car!B50</f>
        <v>24000</v>
      </c>
      <c r="J3">
        <f>Car!B52</f>
        <v>57509.239190283392</v>
      </c>
    </row>
  </sheetData>
  <pageMargins left="0.7" right="0.7" top="0.75" bottom="0.75" header="0.3" footer="0.3"/>
  <pageSetup orientation="portrait" horizontalDpi="0" verticalDpi="0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Meta</vt:lpstr>
      <vt:lpstr>Conversion Factors</vt:lpstr>
      <vt:lpstr>Economic data</vt:lpstr>
      <vt:lpstr>Light</vt:lpstr>
      <vt:lpstr>Car</vt:lpstr>
      <vt:lpstr>Project data</vt:lpstr>
      <vt:lpstr>GDP</vt:lpstr>
      <vt:lpstr>MJ_per_gal</vt:lpstr>
      <vt:lpstr>MJ_per_ktoe</vt:lpstr>
      <vt:lpstr>MJ_per_kWhr</vt:lpstr>
      <vt:lpstr>MPC</vt:lpstr>
      <vt:lpstr>TFC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2019-08-18T18:23:53Z</dcterms:created>
  <dcterms:modified xsi:type="dcterms:W3CDTF">2019-08-28T19:59:04Z</dcterms:modified>
</cp:coreProperties>
</file>